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<sst xmlns="http://schemas.openxmlformats.org/spreadsheetml/2006/main" count="1024" uniqueCount="187">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</sst>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185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78"/>
      <c r="C2" s="278"/>
      <c r="D2" s="278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183</v>
      </c>
      <c r="N3" s="288" t="s">
        <v>184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179</v>
      </c>
      <c r="F4" s="271" t="s">
        <v>34</v>
      </c>
      <c r="G4" s="265" t="s">
        <v>180</v>
      </c>
      <c r="H4" s="273" t="s">
        <v>181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186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72"/>
      <c r="G5" s="266"/>
      <c r="H5" s="274"/>
      <c r="I5" s="266"/>
      <c r="J5" s="274"/>
      <c r="K5" s="268" t="s">
        <v>182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476230.55</v>
      </c>
      <c r="G8" s="191">
        <f aca="true" t="shared" si="0" ref="G8:G36">F8-E8</f>
        <v>-23305.73000000004</v>
      </c>
      <c r="H8" s="192">
        <f>F8/E8*100</f>
        <v>95.33452705377074</v>
      </c>
      <c r="I8" s="193">
        <f>F8-D8</f>
        <v>-364819.45</v>
      </c>
      <c r="J8" s="193">
        <f>F8/D8*100</f>
        <v>56.62333392782831</v>
      </c>
      <c r="K8" s="191">
        <f>F8-366772.22</f>
        <v>109458.33000000002</v>
      </c>
      <c r="L8" s="191">
        <f>F8/366722.22*100</f>
        <v>129.8613839106886</v>
      </c>
      <c r="M8" s="191">
        <f>M9+M15+M18+M19+M20+M17</f>
        <v>79300.50000000003</v>
      </c>
      <c r="N8" s="191">
        <f>N9+N15+N18+N19+N20+N17</f>
        <v>10719.119999999974</v>
      </c>
      <c r="O8" s="191">
        <f>N8-M8</f>
        <v>-68581.38000000006</v>
      </c>
      <c r="P8" s="191">
        <f>N8/M8*100</f>
        <v>13.517090056178674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263548.32</v>
      </c>
      <c r="G9" s="190">
        <f t="shared" si="0"/>
        <v>-175.95000000001164</v>
      </c>
      <c r="H9" s="197">
        <f>F9/E9*100</f>
        <v>99.93328259094241</v>
      </c>
      <c r="I9" s="198">
        <f>F9-D9</f>
        <v>-196151.68</v>
      </c>
      <c r="J9" s="198">
        <f>F9/D9*100</f>
        <v>57.3305025016315</v>
      </c>
      <c r="K9" s="199">
        <f>F9-203434.44</f>
        <v>60113.880000000005</v>
      </c>
      <c r="L9" s="199">
        <f>F9/203434.44*100</f>
        <v>129.54950990599232</v>
      </c>
      <c r="M9" s="197">
        <f>E9-червень!E9</f>
        <v>39820.00000000003</v>
      </c>
      <c r="N9" s="200">
        <f>F9-червень!F9</f>
        <v>2105.779999999999</v>
      </c>
      <c r="O9" s="201">
        <f>N9-M9</f>
        <v>-37714.22000000003</v>
      </c>
      <c r="P9" s="198">
        <f>N9/M9*100</f>
        <v>5.288247112004011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232748.04</v>
      </c>
      <c r="G10" s="109">
        <f t="shared" si="0"/>
        <v>-1267.7999999999884</v>
      </c>
      <c r="H10" s="32">
        <f aca="true" t="shared" si="1" ref="H10:H35">F10/E10*100</f>
        <v>99.45824180106783</v>
      </c>
      <c r="I10" s="110">
        <f aca="true" t="shared" si="2" ref="I10:I36">F10-D10</f>
        <v>-178691.96</v>
      </c>
      <c r="J10" s="110">
        <f aca="true" t="shared" si="3" ref="J10:J35">F10/D10*100</f>
        <v>56.569132801866616</v>
      </c>
      <c r="K10" s="112">
        <f>F10-180069.97</f>
        <v>52678.07000000001</v>
      </c>
      <c r="L10" s="112">
        <f>F10/180069.97*100</f>
        <v>129.25422267799567</v>
      </c>
      <c r="M10" s="111">
        <f>E10-червень!E10</f>
        <v>34720</v>
      </c>
      <c r="N10" s="179">
        <f>F10-червень!F10</f>
        <v>1479.6300000000047</v>
      </c>
      <c r="O10" s="112">
        <f aca="true" t="shared" si="4" ref="O10:O36">N10-M10</f>
        <v>-33240.369999999995</v>
      </c>
      <c r="P10" s="198">
        <f aca="true" t="shared" si="5" ref="P10:P16">N10/M10*100</f>
        <v>4.261607142857157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18064.75</v>
      </c>
      <c r="G11" s="109">
        <f t="shared" si="0"/>
        <v>2149.8099999999995</v>
      </c>
      <c r="H11" s="32">
        <f t="shared" si="1"/>
        <v>113.50812506990286</v>
      </c>
      <c r="I11" s="110">
        <f t="shared" si="2"/>
        <v>-4935.25</v>
      </c>
      <c r="J11" s="110">
        <f t="shared" si="3"/>
        <v>78.54239130434783</v>
      </c>
      <c r="K11" s="112">
        <f>F11-10791.39</f>
        <v>7273.360000000001</v>
      </c>
      <c r="L11" s="112">
        <f>F11/10791.39*100</f>
        <v>167.39965843139763</v>
      </c>
      <c r="M11" s="111">
        <f>E11-червень!E11</f>
        <v>1750</v>
      </c>
      <c r="N11" s="179">
        <f>F11-червень!F11</f>
        <v>32.5</v>
      </c>
      <c r="O11" s="112">
        <f t="shared" si="4"/>
        <v>-1717.5</v>
      </c>
      <c r="P11" s="198">
        <f t="shared" si="5"/>
        <v>1.8571428571428572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5496.74</v>
      </c>
      <c r="G12" s="109">
        <f t="shared" si="0"/>
        <v>2226.1299999999997</v>
      </c>
      <c r="H12" s="32">
        <f t="shared" si="1"/>
        <v>168.0646729509174</v>
      </c>
      <c r="I12" s="110">
        <f t="shared" si="2"/>
        <v>-1003.2600000000002</v>
      </c>
      <c r="J12" s="110">
        <f t="shared" si="3"/>
        <v>84.56523076923077</v>
      </c>
      <c r="K12" s="112">
        <f>F12-3052.92</f>
        <v>2443.8199999999997</v>
      </c>
      <c r="L12" s="112">
        <f>F12/3052.92*100</f>
        <v>180.04860920037208</v>
      </c>
      <c r="M12" s="111">
        <f>E12-червень!E12</f>
        <v>550</v>
      </c>
      <c r="N12" s="179">
        <f>F12-червень!F12</f>
        <v>208.07999999999993</v>
      </c>
      <c r="O12" s="112">
        <f t="shared" si="4"/>
        <v>-341.9200000000001</v>
      </c>
      <c r="P12" s="198">
        <f t="shared" si="5"/>
        <v>37.832727272727254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4810.69</v>
      </c>
      <c r="G13" s="109">
        <f t="shared" si="0"/>
        <v>-1954.1500000000005</v>
      </c>
      <c r="H13" s="32">
        <f t="shared" si="1"/>
        <v>71.11313793083059</v>
      </c>
      <c r="I13" s="110">
        <f t="shared" si="2"/>
        <v>-7589.31</v>
      </c>
      <c r="J13" s="110">
        <f t="shared" si="3"/>
        <v>38.79588709677419</v>
      </c>
      <c r="K13" s="112">
        <f>F13-4060.02</f>
        <v>750.6699999999996</v>
      </c>
      <c r="L13" s="112">
        <f>F13/4060.02*100</f>
        <v>118.48931778661186</v>
      </c>
      <c r="M13" s="111">
        <f>E13-червень!E13</f>
        <v>2180</v>
      </c>
      <c r="N13" s="179">
        <f>F13-червень!F13</f>
        <v>358.0799999999999</v>
      </c>
      <c r="O13" s="112">
        <f t="shared" si="4"/>
        <v>-1821.92</v>
      </c>
      <c r="P13" s="198">
        <f t="shared" si="5"/>
        <v>16.425688073394493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2428.1</v>
      </c>
      <c r="G14" s="109">
        <f t="shared" si="0"/>
        <v>-1329.94</v>
      </c>
      <c r="H14" s="32">
        <f t="shared" si="1"/>
        <v>64.6108077614927</v>
      </c>
      <c r="I14" s="110">
        <f t="shared" si="2"/>
        <v>-3931.9</v>
      </c>
      <c r="J14" s="110">
        <f t="shared" si="3"/>
        <v>38.17767295597484</v>
      </c>
      <c r="K14" s="112">
        <f>F14-5460.12</f>
        <v>-3032.02</v>
      </c>
      <c r="L14" s="112">
        <f>F14/5460.12*100</f>
        <v>44.46971861424291</v>
      </c>
      <c r="M14" s="111">
        <f>E14-червень!E14</f>
        <v>620</v>
      </c>
      <c r="N14" s="179">
        <f>F14-червень!F14</f>
        <v>27.48999999999978</v>
      </c>
      <c r="O14" s="112">
        <f t="shared" si="4"/>
        <v>-592.5100000000002</v>
      </c>
      <c r="P14" s="198">
        <f t="shared" si="5"/>
        <v>4.4338709677419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44766.95</v>
      </c>
      <c r="G19" s="190">
        <f t="shared" si="0"/>
        <v>-13993.450000000004</v>
      </c>
      <c r="H19" s="197">
        <f t="shared" si="1"/>
        <v>76.1855773616245</v>
      </c>
      <c r="I19" s="198">
        <f t="shared" si="2"/>
        <v>-65133.05</v>
      </c>
      <c r="J19" s="198">
        <f t="shared" si="3"/>
        <v>40.73425841674249</v>
      </c>
      <c r="K19" s="209">
        <f>F19-30116.49</f>
        <v>14650.459999999995</v>
      </c>
      <c r="L19" s="209">
        <f>F19/30116.49*100</f>
        <v>148.64597434827232</v>
      </c>
      <c r="M19" s="197">
        <f>E19-червень!E19</f>
        <v>10900</v>
      </c>
      <c r="N19" s="200">
        <f>F19-червень!F19</f>
        <v>254.9300000000003</v>
      </c>
      <c r="O19" s="201">
        <f t="shared" si="4"/>
        <v>-10645.07</v>
      </c>
      <c r="P19" s="198">
        <f aca="true" t="shared" si="6" ref="P19:P24">N19/M19*100</f>
        <v>2.3388073394495437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167500.06999999998</v>
      </c>
      <c r="G20" s="190">
        <f t="shared" si="0"/>
        <v>-9291.540000000008</v>
      </c>
      <c r="H20" s="197">
        <f t="shared" si="1"/>
        <v>94.74435466705687</v>
      </c>
      <c r="I20" s="198">
        <f t="shared" si="2"/>
        <v>-103439.93000000002</v>
      </c>
      <c r="J20" s="198">
        <f t="shared" si="3"/>
        <v>61.82183140178636</v>
      </c>
      <c r="K20" s="198">
        <f>F20-100444.36</f>
        <v>67055.70999999998</v>
      </c>
      <c r="L20" s="198">
        <f>F20/100444.36*100</f>
        <v>166.75905944345703</v>
      </c>
      <c r="M20" s="197">
        <f>M21+M29+M30+M31</f>
        <v>28570.5</v>
      </c>
      <c r="N20" s="200">
        <f>F20-червень!F20</f>
        <v>8358.409999999974</v>
      </c>
      <c r="O20" s="201">
        <f t="shared" si="4"/>
        <v>-20212.090000000026</v>
      </c>
      <c r="P20" s="198">
        <f t="shared" si="6"/>
        <v>29.255385800038415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88737.78</v>
      </c>
      <c r="G21" s="190">
        <f t="shared" si="0"/>
        <v>-7870.880000000005</v>
      </c>
      <c r="H21" s="197">
        <f t="shared" si="1"/>
        <v>91.85282147583871</v>
      </c>
      <c r="I21" s="198">
        <f t="shared" si="2"/>
        <v>-72662.22</v>
      </c>
      <c r="J21" s="198">
        <f t="shared" si="3"/>
        <v>54.98003717472118</v>
      </c>
      <c r="K21" s="198">
        <f>F21-54757.32</f>
        <v>33980.46</v>
      </c>
      <c r="L21" s="198">
        <f>F21/54757.32*100</f>
        <v>162.05647025822302</v>
      </c>
      <c r="M21" s="197">
        <f>M22+M25+M26</f>
        <v>18465.3</v>
      </c>
      <c r="N21" s="200">
        <f>F21-червень!F21</f>
        <v>2743.3899999999994</v>
      </c>
      <c r="O21" s="201">
        <f t="shared" si="4"/>
        <v>-15721.91</v>
      </c>
      <c r="P21" s="198">
        <f t="shared" si="6"/>
        <v>14.857002052498466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9863.52</v>
      </c>
      <c r="G22" s="212">
        <f t="shared" si="0"/>
        <v>-2728.08</v>
      </c>
      <c r="H22" s="214">
        <f t="shared" si="1"/>
        <v>78.33412751358048</v>
      </c>
      <c r="I22" s="215">
        <f t="shared" si="2"/>
        <v>-8636.48</v>
      </c>
      <c r="J22" s="215">
        <f t="shared" si="3"/>
        <v>53.31632432432433</v>
      </c>
      <c r="K22" s="216">
        <f>F22-4957.1</f>
        <v>4906.42</v>
      </c>
      <c r="L22" s="216">
        <f>F22/4957.1*100</f>
        <v>198.9776280486575</v>
      </c>
      <c r="M22" s="214">
        <f>E22-червень!E22</f>
        <v>3980</v>
      </c>
      <c r="N22" s="217">
        <f>F22-червень!F22</f>
        <v>629.9300000000003</v>
      </c>
      <c r="O22" s="218">
        <f t="shared" si="4"/>
        <v>-3350.0699999999997</v>
      </c>
      <c r="P22" s="215">
        <f t="shared" si="6"/>
        <v>15.827386934673374</v>
      </c>
      <c r="Q22" s="113"/>
      <c r="R22" s="114"/>
      <c r="T22" s="186"/>
    </row>
    <row r="23" spans="1:20" s="6" customFormat="1" ht="18">
      <c r="A23" s="8"/>
      <c r="B23" s="237" t="s">
        <v>164</v>
      </c>
      <c r="C23" s="238"/>
      <c r="D23" s="241">
        <v>2000</v>
      </c>
      <c r="E23" s="241">
        <v>689.1</v>
      </c>
      <c r="F23" s="203">
        <v>405.24</v>
      </c>
      <c r="G23" s="241">
        <f t="shared" si="0"/>
        <v>-283.86</v>
      </c>
      <c r="H23" s="242">
        <f t="shared" si="1"/>
        <v>58.80713974749674</v>
      </c>
      <c r="I23" s="243">
        <f t="shared" si="2"/>
        <v>-1594.76</v>
      </c>
      <c r="J23" s="243">
        <f t="shared" si="3"/>
        <v>20.262</v>
      </c>
      <c r="K23" s="244">
        <f>F23-284.18</f>
        <v>121.06</v>
      </c>
      <c r="L23" s="244">
        <f>F23/284.18*100</f>
        <v>142.59976071503976</v>
      </c>
      <c r="M23" s="239">
        <f>E23-червень!E23</f>
        <v>300</v>
      </c>
      <c r="N23" s="239">
        <f>F23-червень!F23</f>
        <v>63.139999999999986</v>
      </c>
      <c r="O23" s="240">
        <f t="shared" si="4"/>
        <v>-236.86</v>
      </c>
      <c r="P23" s="240">
        <f t="shared" si="6"/>
        <v>21.04666666666666</v>
      </c>
      <c r="Q23" s="113"/>
      <c r="R23" s="114"/>
      <c r="T23" s="186"/>
    </row>
    <row r="24" spans="1:20" s="6" customFormat="1" ht="18">
      <c r="A24" s="8"/>
      <c r="B24" s="237" t="s">
        <v>165</v>
      </c>
      <c r="C24" s="238"/>
      <c r="D24" s="241">
        <v>16500</v>
      </c>
      <c r="E24" s="241">
        <v>11902.5</v>
      </c>
      <c r="F24" s="203">
        <v>9458.28</v>
      </c>
      <c r="G24" s="241">
        <f t="shared" si="0"/>
        <v>-2444.2199999999993</v>
      </c>
      <c r="H24" s="242">
        <f t="shared" si="1"/>
        <v>79.46465028355388</v>
      </c>
      <c r="I24" s="243">
        <f t="shared" si="2"/>
        <v>-7041.719999999999</v>
      </c>
      <c r="J24" s="243">
        <f t="shared" si="3"/>
        <v>57.32290909090909</v>
      </c>
      <c r="K24" s="244">
        <f>F24-4672.92</f>
        <v>4785.360000000001</v>
      </c>
      <c r="L24" s="244">
        <f>F24/4672.92*100</f>
        <v>202.40620425772323</v>
      </c>
      <c r="M24" s="239">
        <f>E24-червень!E24</f>
        <v>3680</v>
      </c>
      <c r="N24" s="239">
        <f>F24-червень!F24</f>
        <v>566.7900000000009</v>
      </c>
      <c r="O24" s="240">
        <f t="shared" si="4"/>
        <v>-3113.209999999999</v>
      </c>
      <c r="P24" s="240">
        <f t="shared" si="6"/>
        <v>15.401902173913069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441.3</v>
      </c>
      <c r="G25" s="212">
        <f t="shared" si="0"/>
        <v>-251.83999999999997</v>
      </c>
      <c r="H25" s="214">
        <f t="shared" si="1"/>
        <v>63.66679170153217</v>
      </c>
      <c r="I25" s="215">
        <f t="shared" si="2"/>
        <v>-2358.7</v>
      </c>
      <c r="J25" s="215">
        <f t="shared" si="3"/>
        <v>15.760714285714286</v>
      </c>
      <c r="K25" s="215">
        <f>F25-210.68</f>
        <v>230.62</v>
      </c>
      <c r="L25" s="215">
        <f>F25/210.68*100</f>
        <v>209.46459084868047</v>
      </c>
      <c r="M25" s="214">
        <f>E25-червень!E25</f>
        <v>416.3</v>
      </c>
      <c r="N25" s="217">
        <f>F25-червень!F25</f>
        <v>6.25</v>
      </c>
      <c r="O25" s="218">
        <f t="shared" si="4"/>
        <v>-410.05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78432.96</v>
      </c>
      <c r="G26" s="212">
        <f t="shared" si="0"/>
        <v>-4890.959999999992</v>
      </c>
      <c r="H26" s="214">
        <f t="shared" si="1"/>
        <v>94.13018494569147</v>
      </c>
      <c r="I26" s="215">
        <f t="shared" si="2"/>
        <v>-61667.03999999999</v>
      </c>
      <c r="J26" s="215">
        <f t="shared" si="3"/>
        <v>55.983554603854394</v>
      </c>
      <c r="K26" s="216">
        <f>F26-49589.53</f>
        <v>28843.430000000008</v>
      </c>
      <c r="L26" s="216">
        <f>F26/49589.53*100</f>
        <v>158.1643544514336</v>
      </c>
      <c r="M26" s="214">
        <f>E26-червень!E26</f>
        <v>14069</v>
      </c>
      <c r="N26" s="217">
        <f>F26-червень!F26</f>
        <v>2107.2100000000064</v>
      </c>
      <c r="O26" s="218">
        <f t="shared" si="4"/>
        <v>-11961.789999999994</v>
      </c>
      <c r="P26" s="215">
        <f>N26/M26*100</f>
        <v>14.977681427251449</v>
      </c>
      <c r="Q26" s="113"/>
      <c r="R26" s="114"/>
    </row>
    <row r="27" spans="1:18" s="6" customFormat="1" ht="18">
      <c r="A27" s="8"/>
      <c r="B27" s="237" t="s">
        <v>166</v>
      </c>
      <c r="C27" s="238"/>
      <c r="D27" s="241">
        <v>38057</v>
      </c>
      <c r="E27" s="241">
        <v>23964.75</v>
      </c>
      <c r="F27" s="203">
        <v>24401.41</v>
      </c>
      <c r="G27" s="241">
        <f t="shared" si="0"/>
        <v>436.65999999999985</v>
      </c>
      <c r="H27" s="242">
        <f t="shared" si="1"/>
        <v>101.82209286556296</v>
      </c>
      <c r="I27" s="243">
        <f t="shared" si="2"/>
        <v>-13655.59</v>
      </c>
      <c r="J27" s="243">
        <f t="shared" si="3"/>
        <v>64.11805975247655</v>
      </c>
      <c r="K27" s="244">
        <f>F27-12926</f>
        <v>11475.41</v>
      </c>
      <c r="L27" s="244">
        <f>F27/12926*100</f>
        <v>188.77773479808138</v>
      </c>
      <c r="M27" s="239">
        <f>E27-червень!E27</f>
        <v>4535</v>
      </c>
      <c r="N27" s="239">
        <f>F27-червень!F27</f>
        <v>664.5600000000013</v>
      </c>
      <c r="O27" s="240">
        <f t="shared" si="4"/>
        <v>-3870.4399999999987</v>
      </c>
      <c r="P27" s="240">
        <f>N27/M27*100</f>
        <v>14.654024255788341</v>
      </c>
      <c r="Q27" s="113"/>
      <c r="R27" s="114"/>
    </row>
    <row r="28" spans="1:18" s="6" customFormat="1" ht="18">
      <c r="A28" s="8"/>
      <c r="B28" s="237" t="s">
        <v>167</v>
      </c>
      <c r="C28" s="238"/>
      <c r="D28" s="241">
        <v>10043</v>
      </c>
      <c r="E28" s="241">
        <v>59359.17</v>
      </c>
      <c r="F28" s="203">
        <v>54031.55</v>
      </c>
      <c r="G28" s="241">
        <f t="shared" si="0"/>
        <v>-5327.619999999995</v>
      </c>
      <c r="H28" s="242">
        <f t="shared" si="1"/>
        <v>91.02477342590876</v>
      </c>
      <c r="I28" s="243">
        <f t="shared" si="2"/>
        <v>43988.55</v>
      </c>
      <c r="J28" s="243">
        <f t="shared" si="3"/>
        <v>538.0020910086628</v>
      </c>
      <c r="K28" s="244">
        <f>F28-36663.53</f>
        <v>17368.020000000004</v>
      </c>
      <c r="L28" s="244">
        <f>F28/36663.53*100</f>
        <v>147.37137967893437</v>
      </c>
      <c r="M28" s="239">
        <f>E28-червень!E28</f>
        <v>9534</v>
      </c>
      <c r="N28" s="239">
        <f>F28-червень!F28</f>
        <v>1442.6600000000035</v>
      </c>
      <c r="O28" s="240">
        <f t="shared" si="4"/>
        <v>-8091.3399999999965</v>
      </c>
      <c r="P28" s="240">
        <f>N28/M28*100</f>
        <v>15.131739039228062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-132.89</v>
      </c>
      <c r="G30" s="190">
        <f t="shared" si="0"/>
        <v>-132.89</v>
      </c>
      <c r="H30" s="197"/>
      <c r="I30" s="198">
        <f t="shared" si="2"/>
        <v>-132.89</v>
      </c>
      <c r="J30" s="198"/>
      <c r="K30" s="198">
        <f>F30-(-403.36)</f>
        <v>270.47</v>
      </c>
      <c r="L30" s="198">
        <f>F30/(-403.36)*100</f>
        <v>32.94575565251884</v>
      </c>
      <c r="M30" s="197">
        <f>E30-червень!E30</f>
        <v>0</v>
      </c>
      <c r="N30" s="200">
        <f>F30-червень!F30</f>
        <v>-7.84999999999998</v>
      </c>
      <c r="O30" s="201">
        <f t="shared" si="4"/>
        <v>-7.84999999999998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78839.56</v>
      </c>
      <c r="G31" s="202">
        <f t="shared" si="0"/>
        <v>-1302.479999999996</v>
      </c>
      <c r="H31" s="204">
        <f t="shared" si="1"/>
        <v>98.37478556822361</v>
      </c>
      <c r="I31" s="205">
        <f t="shared" si="2"/>
        <v>-30623.440000000002</v>
      </c>
      <c r="J31" s="205">
        <f t="shared" si="3"/>
        <v>72.0239350282744</v>
      </c>
      <c r="K31" s="219">
        <f>F31-46052.97</f>
        <v>32786.59</v>
      </c>
      <c r="L31" s="219">
        <f>F31/46052.97*100</f>
        <v>171.19321511728776</v>
      </c>
      <c r="M31" s="197">
        <f>E31-червень!E31</f>
        <v>10100</v>
      </c>
      <c r="N31" s="200">
        <f>F31-червень!F31</f>
        <v>5622.869999999995</v>
      </c>
      <c r="O31" s="207">
        <f t="shared" si="4"/>
        <v>-4477.130000000005</v>
      </c>
      <c r="P31" s="205">
        <f>N31/M31*100</f>
        <v>55.67198019801975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0.22</v>
      </c>
      <c r="G32" s="109">
        <f t="shared" si="0"/>
        <v>0.22</v>
      </c>
      <c r="H32" s="111"/>
      <c r="I32" s="110">
        <f t="shared" si="2"/>
        <v>0.22</v>
      </c>
      <c r="J32" s="110"/>
      <c r="K32" s="142">
        <f>F32-(-1.2)</f>
        <v>1.42</v>
      </c>
      <c r="L32" s="142"/>
      <c r="M32" s="111">
        <f>E32-червень!E32</f>
        <v>0</v>
      </c>
      <c r="N32" s="179">
        <f>F32-червень!F32</f>
        <v>0.04000000000000001</v>
      </c>
      <c r="O32" s="112">
        <f t="shared" si="4"/>
        <v>0.04000000000000001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19553.72</v>
      </c>
      <c r="G33" s="109">
        <f t="shared" si="0"/>
        <v>-142.25</v>
      </c>
      <c r="H33" s="111">
        <f t="shared" si="1"/>
        <v>99.27777103640999</v>
      </c>
      <c r="I33" s="110">
        <f t="shared" si="2"/>
        <v>-8046.279999999999</v>
      </c>
      <c r="J33" s="110">
        <f t="shared" si="3"/>
        <v>70.8468115942029</v>
      </c>
      <c r="K33" s="142">
        <f>F33-11423.16</f>
        <v>8130.560000000001</v>
      </c>
      <c r="L33" s="142">
        <f>F33/11423.16*100</f>
        <v>171.1761018842422</v>
      </c>
      <c r="M33" s="111">
        <f>E33-червень!E33</f>
        <v>2000</v>
      </c>
      <c r="N33" s="179">
        <f>F33-червень!F33</f>
        <v>1240.6599999999999</v>
      </c>
      <c r="O33" s="112">
        <f t="shared" si="4"/>
        <v>-759.3400000000001</v>
      </c>
      <c r="P33" s="110">
        <f>N33/M33*100</f>
        <v>62.032999999999994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59271.61</v>
      </c>
      <c r="G34" s="109">
        <f t="shared" si="0"/>
        <v>-1164.4700000000012</v>
      </c>
      <c r="H34" s="111">
        <f t="shared" si="1"/>
        <v>98.07322050007214</v>
      </c>
      <c r="I34" s="110">
        <f t="shared" si="2"/>
        <v>-22540.39</v>
      </c>
      <c r="J34" s="110">
        <f t="shared" si="3"/>
        <v>72.44855277954333</v>
      </c>
      <c r="K34" s="142">
        <f>F34-34622.85</f>
        <v>24648.760000000002</v>
      </c>
      <c r="L34" s="142">
        <f>F34/34622.85*100</f>
        <v>171.1921751097902</v>
      </c>
      <c r="M34" s="111">
        <f>E34-червень!E34</f>
        <v>8100</v>
      </c>
      <c r="N34" s="179">
        <f>F34-червень!F34</f>
        <v>4382.1600000000035</v>
      </c>
      <c r="O34" s="112">
        <f t="shared" si="4"/>
        <v>-3717.8399999999965</v>
      </c>
      <c r="P34" s="110">
        <f>N34/M34*100</f>
        <v>54.10074074074078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34255.7</v>
      </c>
      <c r="G37" s="191">
        <f>G38+G39+G40+G41+G42+G44+G46+G47+G48+G49+G50+G55+G56+G60</f>
        <v>9095.81</v>
      </c>
      <c r="H37" s="192">
        <f>F37/E37*100</f>
        <v>136.22707043616828</v>
      </c>
      <c r="I37" s="193">
        <f>F37-D37</f>
        <v>-8564.300000000003</v>
      </c>
      <c r="J37" s="193">
        <f>F37/D37*100</f>
        <v>79.99929939280709</v>
      </c>
      <c r="K37" s="191">
        <f>F37-15873</f>
        <v>18382.699999999997</v>
      </c>
      <c r="L37" s="191">
        <f>F37/15873*100</f>
        <v>215.8111258111258</v>
      </c>
      <c r="M37" s="191">
        <f>M38+M39+M40+M41+M42+M44+M46+M47+M48+M49+M50+M55+M56+M60</f>
        <v>3647.9999999999995</v>
      </c>
      <c r="N37" s="191">
        <f>N38+N39+N40+N41+N42+N44+N46+N47+N48+N49+N50+N55+N56+N60+N43</f>
        <v>4995.05</v>
      </c>
      <c r="O37" s="191">
        <f>O38+O39+O40+O41+O42+O44+O46+O47+O48+O49+O50+O55+O56+O60</f>
        <v>1346.7900000000006</v>
      </c>
      <c r="P37" s="191">
        <f>N37/M37*100</f>
        <v>136.92571271929828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240.17</v>
      </c>
      <c r="G38" s="202">
        <f>F38-E38</f>
        <v>170.17</v>
      </c>
      <c r="H38" s="204">
        <f aca="true" t="shared" si="7" ref="H38:H61">F38/E38*100</f>
        <v>343.09999999999997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E38-червень!E38</f>
        <v>3</v>
      </c>
      <c r="N38" s="208">
        <f>F38-червень!F38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68.73</v>
      </c>
      <c r="G42" s="202">
        <f t="shared" si="9"/>
        <v>-1.269999999999996</v>
      </c>
      <c r="H42" s="204">
        <f t="shared" si="7"/>
        <v>98.18571428571428</v>
      </c>
      <c r="I42" s="205">
        <f t="shared" si="10"/>
        <v>-81.27</v>
      </c>
      <c r="J42" s="205">
        <f t="shared" si="12"/>
        <v>45.82000000000001</v>
      </c>
      <c r="K42" s="205">
        <f>F42-81.62</f>
        <v>-12.89</v>
      </c>
      <c r="L42" s="205">
        <f>F42/81.62*100</f>
        <v>84.20730213183043</v>
      </c>
      <c r="M42" s="204">
        <f>E42-червень!E42</f>
        <v>10</v>
      </c>
      <c r="N42" s="208">
        <f>F42-червень!F42</f>
        <v>7.760000000000005</v>
      </c>
      <c r="O42" s="207">
        <f t="shared" si="11"/>
        <v>-2.239999999999995</v>
      </c>
      <c r="P42" s="205">
        <f t="shared" si="8"/>
        <v>77.60000000000005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13.86</v>
      </c>
      <c r="G43" s="202">
        <f t="shared" si="9"/>
        <v>13.86</v>
      </c>
      <c r="H43" s="204"/>
      <c r="I43" s="205">
        <f t="shared" si="10"/>
        <v>13.86</v>
      </c>
      <c r="J43" s="205"/>
      <c r="K43" s="205">
        <f>F43-2.5</f>
        <v>11.36</v>
      </c>
      <c r="L43" s="205">
        <f>F43/2.5*100</f>
        <v>554.4</v>
      </c>
      <c r="M43" s="204">
        <f>E43-червень!E43</f>
        <v>0</v>
      </c>
      <c r="N43" s="208">
        <f>F43-червень!F43</f>
        <v>0.2599999999999998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202.89</v>
      </c>
      <c r="G44" s="202">
        <f t="shared" si="9"/>
        <v>154.89</v>
      </c>
      <c r="H44" s="204">
        <f t="shared" si="7"/>
        <v>422.6875</v>
      </c>
      <c r="I44" s="205">
        <f t="shared" si="10"/>
        <v>112.88999999999999</v>
      </c>
      <c r="J44" s="205">
        <f t="shared" si="12"/>
        <v>225.43333333333334</v>
      </c>
      <c r="K44" s="205">
        <f>F44-0</f>
        <v>202.89</v>
      </c>
      <c r="L44" s="205"/>
      <c r="M44" s="204">
        <f>E44-червень!E44</f>
        <v>8</v>
      </c>
      <c r="N44" s="208">
        <f>F44-червень!F44</f>
        <v>34.809999999999974</v>
      </c>
      <c r="O44" s="207">
        <f t="shared" si="11"/>
        <v>26.809999999999974</v>
      </c>
      <c r="P44" s="205">
        <f t="shared" si="8"/>
        <v>435.12499999999966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5465.79</v>
      </c>
      <c r="G46" s="202">
        <f t="shared" si="9"/>
        <v>126.76999999999953</v>
      </c>
      <c r="H46" s="204">
        <f t="shared" si="7"/>
        <v>102.3744057898266</v>
      </c>
      <c r="I46" s="205">
        <f t="shared" si="10"/>
        <v>-4434.21</v>
      </c>
      <c r="J46" s="205">
        <f t="shared" si="12"/>
        <v>55.21</v>
      </c>
      <c r="K46" s="205">
        <f>F46-4927.6</f>
        <v>538.1899999999996</v>
      </c>
      <c r="L46" s="205">
        <f>F46/4927.6*100</f>
        <v>110.92194983359039</v>
      </c>
      <c r="M46" s="204">
        <f>E46-червень!E46</f>
        <v>800</v>
      </c>
      <c r="N46" s="208">
        <f>F46-червень!F46</f>
        <v>464.72999999999956</v>
      </c>
      <c r="O46" s="207">
        <f t="shared" si="11"/>
        <v>-335.27000000000044</v>
      </c>
      <c r="P46" s="205">
        <f t="shared" si="8"/>
        <v>58.09124999999995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88.45</v>
      </c>
      <c r="G47" s="202">
        <f t="shared" si="9"/>
        <v>-691.55</v>
      </c>
      <c r="H47" s="204">
        <f t="shared" si="7"/>
        <v>11.33974358974359</v>
      </c>
      <c r="I47" s="205">
        <f t="shared" si="10"/>
        <v>-1411.55</v>
      </c>
      <c r="J47" s="205">
        <f t="shared" si="12"/>
        <v>5.8966666666666665</v>
      </c>
      <c r="K47" s="205">
        <f>F47-0</f>
        <v>88.45</v>
      </c>
      <c r="L47" s="205"/>
      <c r="M47" s="204">
        <f>E47-червень!E47</f>
        <v>130</v>
      </c>
      <c r="N47" s="208">
        <f>F47-червень!F47</f>
        <v>19.53</v>
      </c>
      <c r="O47" s="207">
        <f t="shared" si="11"/>
        <v>-110.47</v>
      </c>
      <c r="P47" s="205">
        <f t="shared" si="8"/>
        <v>15.023076923076925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3357.24</v>
      </c>
      <c r="G50" s="202">
        <f t="shared" si="9"/>
        <v>-514.9500000000003</v>
      </c>
      <c r="H50" s="204">
        <f t="shared" si="7"/>
        <v>86.70132405692902</v>
      </c>
      <c r="I50" s="205">
        <f t="shared" si="10"/>
        <v>-3942.76</v>
      </c>
      <c r="J50" s="205">
        <f t="shared" si="12"/>
        <v>45.98958904109588</v>
      </c>
      <c r="K50" s="205">
        <f>F50-4033.24</f>
        <v>-676</v>
      </c>
      <c r="L50" s="205">
        <f>F50/4033.24*100</f>
        <v>83.23928157015203</v>
      </c>
      <c r="M50" s="204">
        <f>E50-червень!E50</f>
        <v>653</v>
      </c>
      <c r="N50" s="208">
        <f>F50-червень!F50</f>
        <v>262.6099999999997</v>
      </c>
      <c r="O50" s="207">
        <f t="shared" si="11"/>
        <v>-390.3900000000003</v>
      </c>
      <c r="P50" s="205">
        <f t="shared" si="8"/>
        <v>40.215926493108675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451.11</v>
      </c>
      <c r="G51" s="36">
        <f t="shared" si="9"/>
        <v>-192.88</v>
      </c>
      <c r="H51" s="32">
        <f t="shared" si="7"/>
        <v>70.04922436683799</v>
      </c>
      <c r="I51" s="110">
        <f t="shared" si="10"/>
        <v>-648.89</v>
      </c>
      <c r="J51" s="110">
        <f t="shared" si="12"/>
        <v>41.010000000000005</v>
      </c>
      <c r="K51" s="110">
        <f>F51-582.74</f>
        <v>-131.63</v>
      </c>
      <c r="L51" s="110">
        <f>F51/582.74*100</f>
        <v>77.41188179977348</v>
      </c>
      <c r="M51" s="111">
        <f>E51-червень!E51</f>
        <v>92</v>
      </c>
      <c r="N51" s="179">
        <f>F51-червень!F51</f>
        <v>30.439999999999998</v>
      </c>
      <c r="O51" s="112">
        <f t="shared" si="11"/>
        <v>-61.56</v>
      </c>
      <c r="P51" s="132">
        <f t="shared" si="8"/>
        <v>33.08695652173913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0.25</v>
      </c>
      <c r="G52" s="36">
        <f t="shared" si="9"/>
        <v>-5.79</v>
      </c>
      <c r="H52" s="32">
        <f t="shared" si="7"/>
        <v>4.13907284768212</v>
      </c>
      <c r="I52" s="110">
        <f t="shared" si="10"/>
        <v>-44.75</v>
      </c>
      <c r="J52" s="110">
        <f t="shared" si="12"/>
        <v>0.5555555555555556</v>
      </c>
      <c r="K52" s="110">
        <f>F52-45.15</f>
        <v>-44.9</v>
      </c>
      <c r="L52" s="110">
        <f>F52/45.15*100</f>
        <v>0.5537098560354374</v>
      </c>
      <c r="M52" s="111">
        <f>E52-червень!E52</f>
        <v>1</v>
      </c>
      <c r="N52" s="179">
        <f>F52-червень!F52</f>
        <v>0.010000000000000009</v>
      </c>
      <c r="O52" s="112">
        <f t="shared" si="11"/>
        <v>-0.99</v>
      </c>
      <c r="P52" s="132">
        <f t="shared" si="8"/>
        <v>1.0000000000000009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2905.86</v>
      </c>
      <c r="G54" s="36">
        <f t="shared" si="9"/>
        <v>-316.30999999999995</v>
      </c>
      <c r="H54" s="32">
        <f t="shared" si="7"/>
        <v>90.18332366076278</v>
      </c>
      <c r="I54" s="110">
        <f t="shared" si="10"/>
        <v>-3248.14</v>
      </c>
      <c r="J54" s="110">
        <f t="shared" si="12"/>
        <v>47.21904452388691</v>
      </c>
      <c r="K54" s="110">
        <f>F54-3404.6</f>
        <v>-498.7399999999998</v>
      </c>
      <c r="L54" s="110">
        <f>F54/3404.6*100</f>
        <v>85.35099571168419</v>
      </c>
      <c r="M54" s="111">
        <f>E54-червень!E54</f>
        <v>560</v>
      </c>
      <c r="N54" s="179">
        <f>F54-червень!F54</f>
        <v>232.1500000000001</v>
      </c>
      <c r="O54" s="112">
        <f t="shared" si="11"/>
        <v>-327.8499999999999</v>
      </c>
      <c r="P54" s="132">
        <f t="shared" si="8"/>
        <v>41.45535714285716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2932.2</v>
      </c>
      <c r="G56" s="202">
        <f t="shared" si="9"/>
        <v>294.2199999999998</v>
      </c>
      <c r="H56" s="204">
        <f t="shared" si="7"/>
        <v>111.15323088120455</v>
      </c>
      <c r="I56" s="205">
        <f t="shared" si="10"/>
        <v>-1867.8000000000002</v>
      </c>
      <c r="J56" s="205">
        <f t="shared" si="12"/>
        <v>61.08749999999999</v>
      </c>
      <c r="K56" s="205">
        <f>F56-2236.15</f>
        <v>696.0499999999997</v>
      </c>
      <c r="L56" s="205">
        <f>F56/2236.15*100</f>
        <v>131.1271605214319</v>
      </c>
      <c r="M56" s="204">
        <f>E56-червень!E56</f>
        <v>370</v>
      </c>
      <c r="N56" s="208">
        <f>F56-червень!F56</f>
        <v>223.05999999999995</v>
      </c>
      <c r="O56" s="207">
        <f t="shared" si="11"/>
        <v>-146.94000000000005</v>
      </c>
      <c r="P56" s="205">
        <f t="shared" si="8"/>
        <v>60.28648648648647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672.7</v>
      </c>
      <c r="G58" s="202"/>
      <c r="H58" s="204"/>
      <c r="I58" s="205"/>
      <c r="J58" s="205"/>
      <c r="K58" s="206">
        <f>F58-577.4</f>
        <v>95.30000000000007</v>
      </c>
      <c r="L58" s="206">
        <f>F58/577.4*100</f>
        <v>116.50502251472116</v>
      </c>
      <c r="M58" s="236"/>
      <c r="N58" s="220">
        <f>F58-червень!F58</f>
        <v>80.44000000000005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78.18</v>
      </c>
      <c r="G60" s="202">
        <f t="shared" si="9"/>
        <v>58.18000000000001</v>
      </c>
      <c r="H60" s="204">
        <f t="shared" si="7"/>
        <v>390.90000000000003</v>
      </c>
      <c r="I60" s="205">
        <f t="shared" si="10"/>
        <v>58.18000000000001</v>
      </c>
      <c r="J60" s="205">
        <f t="shared" si="12"/>
        <v>390.90000000000003</v>
      </c>
      <c r="K60" s="205">
        <f>F60-0.6</f>
        <v>77.58000000000001</v>
      </c>
      <c r="L60" s="205">
        <f>F60/0.6*100</f>
        <v>13030.000000000002</v>
      </c>
      <c r="M60" s="204">
        <f>E60-червень!E60</f>
        <v>0</v>
      </c>
      <c r="N60" s="208">
        <f>F60-червень!F60</f>
        <v>37.13000000000001</v>
      </c>
      <c r="O60" s="207">
        <f t="shared" si="11"/>
        <v>37.13000000000001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0.86</v>
      </c>
      <c r="G62" s="202">
        <f t="shared" si="9"/>
        <v>0.86</v>
      </c>
      <c r="H62" s="204"/>
      <c r="I62" s="205">
        <f t="shared" si="10"/>
        <v>0.26</v>
      </c>
      <c r="J62" s="205"/>
      <c r="K62" s="205">
        <f>F62-0.02</f>
        <v>0.84</v>
      </c>
      <c r="L62" s="205"/>
      <c r="M62" s="204">
        <f>E62-травень!E62</f>
        <v>0</v>
      </c>
      <c r="N62" s="208">
        <f>F62-червень!F62</f>
        <v>0.45999999999999996</v>
      </c>
      <c r="O62" s="207">
        <f t="shared" si="11"/>
        <v>0.45999999999999996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510500.63</v>
      </c>
      <c r="G63" s="191">
        <f>F63-E63</f>
        <v>-14196.180000000051</v>
      </c>
      <c r="H63" s="192">
        <f>F63/E63*100</f>
        <v>97.29440321926104</v>
      </c>
      <c r="I63" s="193">
        <f>F63-D63</f>
        <v>-373399.97</v>
      </c>
      <c r="J63" s="193">
        <f>F63/D63*100</f>
        <v>57.75543426489359</v>
      </c>
      <c r="K63" s="193">
        <f>F63-320998.67</f>
        <v>189501.96000000002</v>
      </c>
      <c r="L63" s="193">
        <f>F63/320998.67*100</f>
        <v>159.0351231050272</v>
      </c>
      <c r="M63" s="191">
        <f>M8+M37+M61+M62</f>
        <v>82950.80000000003</v>
      </c>
      <c r="N63" s="191">
        <f>N8+N37+N61+N62</f>
        <v>15714.629999999972</v>
      </c>
      <c r="O63" s="195">
        <f>N63-M63</f>
        <v>-67236.17000000006</v>
      </c>
      <c r="P63" s="193">
        <f>N63/M63*100</f>
        <v>18.944518919648715</v>
      </c>
      <c r="Q63" s="28">
        <f>N63-34768</f>
        <v>-19053.370000000028</v>
      </c>
      <c r="R63" s="128">
        <f>N63/34768</f>
        <v>0.45198544638748195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1042.06</v>
      </c>
      <c r="G72" s="202">
        <f aca="true" t="shared" si="13" ref="G72:G82">F72-E72</f>
        <v>-757.94</v>
      </c>
      <c r="H72" s="204"/>
      <c r="I72" s="207">
        <f aca="true" t="shared" si="14" ref="I72:I82">F72-D72</f>
        <v>-3157.94</v>
      </c>
      <c r="J72" s="207">
        <f>F72/D72*100</f>
        <v>24.81095238095238</v>
      </c>
      <c r="K72" s="207">
        <f>F72-194</f>
        <v>848.06</v>
      </c>
      <c r="L72" s="207">
        <f>F72/194*100</f>
        <v>537.1443298969072</v>
      </c>
      <c r="M72" s="204">
        <f>E72-червень!E72</f>
        <v>387</v>
      </c>
      <c r="N72" s="208">
        <f>F72-червень!F72</f>
        <v>0.03999999999996362</v>
      </c>
      <c r="O72" s="207">
        <f aca="true" t="shared" si="15" ref="O72:O85">N72-M72</f>
        <v>-386.96000000000004</v>
      </c>
      <c r="P72" s="207">
        <f>N72/M72*100</f>
        <v>0.010335917312652099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936.04</v>
      </c>
      <c r="G73" s="202">
        <f t="shared" si="13"/>
        <v>-2391.27</v>
      </c>
      <c r="H73" s="204">
        <f>F73/E73*100</f>
        <v>28.132034586497802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E73-червень!E73</f>
        <v>1093.6</v>
      </c>
      <c r="N73" s="208">
        <f>F73-червень!F73</f>
        <v>0</v>
      </c>
      <c r="O73" s="207">
        <f t="shared" si="15"/>
        <v>-1093.6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9382.84</v>
      </c>
      <c r="G74" s="202">
        <f t="shared" si="13"/>
        <v>7287.99</v>
      </c>
      <c r="H74" s="204">
        <f>F74/E74*100</f>
        <v>447.90032699238617</v>
      </c>
      <c r="I74" s="207">
        <f t="shared" si="14"/>
        <v>3382.84</v>
      </c>
      <c r="J74" s="207">
        <f>F74/D74*100</f>
        <v>156.38066666666668</v>
      </c>
      <c r="K74" s="207">
        <f>F74-1818.42</f>
        <v>7564.42</v>
      </c>
      <c r="L74" s="207">
        <f>F74/1818.42*100</f>
        <v>515.9886054926804</v>
      </c>
      <c r="M74" s="204">
        <f>E74-червень!E74</f>
        <v>302</v>
      </c>
      <c r="N74" s="208">
        <f>F74-червень!F74</f>
        <v>8.329999999999927</v>
      </c>
      <c r="O74" s="207">
        <f t="shared" si="15"/>
        <v>-293.6700000000001</v>
      </c>
      <c r="P74" s="207">
        <f>N74/M74*100</f>
        <v>2.7582781456953405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11366.94</v>
      </c>
      <c r="G76" s="226">
        <f t="shared" si="13"/>
        <v>4137.780000000001</v>
      </c>
      <c r="H76" s="227">
        <f>F76/E76*100</f>
        <v>157.23735537738827</v>
      </c>
      <c r="I76" s="228">
        <f t="shared" si="14"/>
        <v>-6304.0599999999995</v>
      </c>
      <c r="J76" s="228">
        <f>F76/D76*100</f>
        <v>64.32539188500934</v>
      </c>
      <c r="K76" s="228">
        <f>F76-5269.49</f>
        <v>6097.450000000001</v>
      </c>
      <c r="L76" s="228">
        <f>F76/5269.49*100</f>
        <v>215.71233648797136</v>
      </c>
      <c r="M76" s="226">
        <f>M72+M73+M74+M75</f>
        <v>1783.6</v>
      </c>
      <c r="N76" s="230">
        <f>N72+N73+N74+N75</f>
        <v>8.36999999999989</v>
      </c>
      <c r="O76" s="228">
        <f t="shared" si="15"/>
        <v>-1775.23</v>
      </c>
      <c r="P76" s="228">
        <f>N76/M76*100</f>
        <v>0.4692756223368407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4892.64</v>
      </c>
      <c r="G79" s="202">
        <f t="shared" si="13"/>
        <v>-234.65999999999985</v>
      </c>
      <c r="H79" s="204">
        <f>F79/E79*100</f>
        <v>95.4233222163712</v>
      </c>
      <c r="I79" s="207">
        <f t="shared" si="14"/>
        <v>-4607.36</v>
      </c>
      <c r="J79" s="207">
        <f>F79/D79*100</f>
        <v>51.50147368421053</v>
      </c>
      <c r="K79" s="207">
        <f>F79-0</f>
        <v>4892.64</v>
      </c>
      <c r="L79" s="207"/>
      <c r="M79" s="204">
        <f>E79-червень!E79</f>
        <v>10</v>
      </c>
      <c r="N79" s="208">
        <f>F79-червень!F79</f>
        <v>2.2000000000007276</v>
      </c>
      <c r="O79" s="207">
        <f>N79-M79</f>
        <v>-7.799999999999272</v>
      </c>
      <c r="P79" s="231">
        <f>N79/M79*100</f>
        <v>22.000000000007276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4898.64</v>
      </c>
      <c r="G81" s="224">
        <f>G77+G80+G78+G79</f>
        <v>-228.65999999999985</v>
      </c>
      <c r="H81" s="227">
        <f>F81/E81*100</f>
        <v>95.54034287051665</v>
      </c>
      <c r="I81" s="228">
        <f t="shared" si="14"/>
        <v>-4602.36</v>
      </c>
      <c r="J81" s="228">
        <f>F81/D81*100</f>
        <v>51.55920429428481</v>
      </c>
      <c r="K81" s="228">
        <f>F81-1.06</f>
        <v>4897.58</v>
      </c>
      <c r="L81" s="228">
        <f>F81/1.06*100</f>
        <v>462135.8490566038</v>
      </c>
      <c r="M81" s="226">
        <f>M77+M80+M78+M79</f>
        <v>10</v>
      </c>
      <c r="N81" s="230">
        <f>N77+N80+N78+N79</f>
        <v>2.2000000000007276</v>
      </c>
      <c r="O81" s="226">
        <f>O77+O80+O78+O79</f>
        <v>-7.799999999999272</v>
      </c>
      <c r="P81" s="228">
        <f>N81/M81*100</f>
        <v>22.000000000007276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18.45</v>
      </c>
      <c r="G82" s="202">
        <f t="shared" si="13"/>
        <v>-1.8500000000000014</v>
      </c>
      <c r="H82" s="204">
        <f>F82/E82*100</f>
        <v>90.88669950738915</v>
      </c>
      <c r="I82" s="207">
        <f t="shared" si="14"/>
        <v>-24.55</v>
      </c>
      <c r="J82" s="207">
        <f>F82/D82*100</f>
        <v>42.90697674418604</v>
      </c>
      <c r="K82" s="207">
        <f>F82-19.94</f>
        <v>-1.490000000000002</v>
      </c>
      <c r="L82" s="207">
        <f>F82/19.94*100</f>
        <v>92.52758274824473</v>
      </c>
      <c r="M82" s="204">
        <f>E82-червень!E82</f>
        <v>0.6000000000000014</v>
      </c>
      <c r="N82" s="208">
        <f>F82-червень!F82</f>
        <v>0.1999999999999993</v>
      </c>
      <c r="O82" s="207">
        <f t="shared" si="15"/>
        <v>-0.40000000000000213</v>
      </c>
      <c r="P82" s="207">
        <f>N82/M82</f>
        <v>0.33333333333333137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16281.740000000002</v>
      </c>
      <c r="G84" s="233">
        <f>F84-E84</f>
        <v>3904.9800000000014</v>
      </c>
      <c r="H84" s="234">
        <f>F84/E84*100</f>
        <v>131.55090669933006</v>
      </c>
      <c r="I84" s="235">
        <f>F84-D84</f>
        <v>-10933.259999999998</v>
      </c>
      <c r="J84" s="235">
        <f>F84/D84*100</f>
        <v>59.826345765203016</v>
      </c>
      <c r="K84" s="235">
        <f>F84-5259.67</f>
        <v>11022.070000000002</v>
      </c>
      <c r="L84" s="235">
        <f>F84/5259.67*100</f>
        <v>309.5582042219379</v>
      </c>
      <c r="M84" s="232">
        <f>M70+M82+M76+M81</f>
        <v>1794.1999999999998</v>
      </c>
      <c r="N84" s="232">
        <f>N70+N82+N76+N81+N83</f>
        <v>10.770000000000618</v>
      </c>
      <c r="O84" s="235">
        <f t="shared" si="15"/>
        <v>-1783.4299999999992</v>
      </c>
      <c r="P84" s="235">
        <f>N84/M84*100</f>
        <v>0.600267528703635</v>
      </c>
      <c r="Q84" s="28">
        <f>N84-8104.96</f>
        <v>-8094.19</v>
      </c>
      <c r="R84" s="101">
        <f>N84/8104.96</f>
        <v>0.0013288159349337464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526782.37</v>
      </c>
      <c r="G85" s="233">
        <f>F85-E85</f>
        <v>-10291.20000000007</v>
      </c>
      <c r="H85" s="234">
        <f>F85/E85*100</f>
        <v>98.08383793676533</v>
      </c>
      <c r="I85" s="235">
        <f>F85-D85</f>
        <v>-384333.23</v>
      </c>
      <c r="J85" s="235">
        <f>F85/D85*100</f>
        <v>57.81729233919384</v>
      </c>
      <c r="K85" s="235">
        <f>F85-320998.67-5259.67</f>
        <v>200524.03</v>
      </c>
      <c r="L85" s="235">
        <f>F85/(265734.15+4325.48)*100</f>
        <v>195.06150178758668</v>
      </c>
      <c r="M85" s="233">
        <f>M63+M84</f>
        <v>84745.00000000003</v>
      </c>
      <c r="N85" s="233">
        <f>N63+N84</f>
        <v>15725.399999999972</v>
      </c>
      <c r="O85" s="235">
        <f t="shared" si="15"/>
        <v>-69019.60000000006</v>
      </c>
      <c r="P85" s="235">
        <f>N85/M85*100</f>
        <v>18.55613900525101</v>
      </c>
      <c r="Q85" s="28">
        <f>N85-42872.96</f>
        <v>-27147.560000000027</v>
      </c>
      <c r="R85" s="101">
        <f>N85/42872.96</f>
        <v>0.3667906298048927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12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5603.014166666671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42564</v>
      </c>
      <c r="D89" s="31">
        <v>2409.9</v>
      </c>
      <c r="G89" s="4" t="s">
        <v>59</v>
      </c>
      <c r="N89" s="263"/>
      <c r="O89" s="263"/>
    </row>
    <row r="90" spans="3:15" ht="15">
      <c r="C90" s="87">
        <v>42563</v>
      </c>
      <c r="D90" s="31">
        <v>1980.1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42562</v>
      </c>
      <c r="D91" s="31">
        <v>1860.1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0.00628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 hidden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299.88</v>
      </c>
      <c r="G96" s="73">
        <f>G44+G47+G48</f>
        <v>-552.12</v>
      </c>
      <c r="H96" s="74"/>
      <c r="I96" s="74"/>
      <c r="M96" s="31">
        <f>M44+M47+M48</f>
        <v>142</v>
      </c>
      <c r="N96" s="246">
        <f>N44+N47+N48</f>
        <v>54.339999999999975</v>
      </c>
      <c r="O96" s="31">
        <f>O44+O47+O48</f>
        <v>-87.66000000000003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172</v>
      </c>
      <c r="N3" s="288" t="s">
        <v>173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170</v>
      </c>
      <c r="F4" s="291" t="s">
        <v>34</v>
      </c>
      <c r="G4" s="265" t="s">
        <v>171</v>
      </c>
      <c r="H4" s="273" t="s">
        <v>175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178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92"/>
      <c r="G5" s="266"/>
      <c r="H5" s="274"/>
      <c r="I5" s="266"/>
      <c r="J5" s="274"/>
      <c r="K5" s="268" t="s">
        <v>174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63"/>
      <c r="O89" s="263"/>
    </row>
    <row r="90" spans="3:15" ht="15">
      <c r="C90" s="87">
        <v>42550</v>
      </c>
      <c r="D90" s="31">
        <v>11029.3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42545</v>
      </c>
      <c r="D91" s="31">
        <v>6499.7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9447.89588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7">
    <mergeCell ref="M3:M5"/>
    <mergeCell ref="N3:R3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Q5:R5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168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162</v>
      </c>
      <c r="N3" s="288" t="s">
        <v>163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158</v>
      </c>
      <c r="F4" s="293" t="s">
        <v>34</v>
      </c>
      <c r="G4" s="265" t="s">
        <v>159</v>
      </c>
      <c r="H4" s="273" t="s">
        <v>160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169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161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63"/>
      <c r="O89" s="263"/>
    </row>
    <row r="90" spans="3:15" ht="15">
      <c r="C90" s="87">
        <v>42520</v>
      </c>
      <c r="D90" s="31">
        <v>8891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42517</v>
      </c>
      <c r="D91" s="31">
        <v>7356.3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2811.04042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153</v>
      </c>
      <c r="N3" s="288" t="s">
        <v>154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150</v>
      </c>
      <c r="F4" s="293" t="s">
        <v>34</v>
      </c>
      <c r="G4" s="265" t="s">
        <v>151</v>
      </c>
      <c r="H4" s="273" t="s">
        <v>152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157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155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0"/>
      <c r="H84" s="270"/>
      <c r="I84" s="270"/>
      <c r="J84" s="27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63"/>
      <c r="O85" s="263"/>
    </row>
    <row r="86" spans="3:15" ht="15">
      <c r="C86" s="87">
        <v>42488</v>
      </c>
      <c r="D86" s="31">
        <v>11419.7</v>
      </c>
      <c r="F86" s="124" t="s">
        <v>59</v>
      </c>
      <c r="G86" s="257"/>
      <c r="H86" s="257"/>
      <c r="I86" s="131"/>
      <c r="J86" s="260"/>
      <c r="K86" s="260"/>
      <c r="L86" s="260"/>
      <c r="M86" s="260"/>
      <c r="N86" s="263"/>
      <c r="O86" s="263"/>
    </row>
    <row r="87" spans="3:15" ht="15.75" customHeight="1">
      <c r="C87" s="87">
        <v>42487</v>
      </c>
      <c r="D87" s="31">
        <v>7800.7</v>
      </c>
      <c r="F87" s="73"/>
      <c r="G87" s="257"/>
      <c r="H87" s="257"/>
      <c r="I87" s="131"/>
      <c r="J87" s="264"/>
      <c r="K87" s="264"/>
      <c r="L87" s="264"/>
      <c r="M87" s="264"/>
      <c r="N87" s="263"/>
      <c r="O87" s="263"/>
    </row>
    <row r="88" spans="3:13" ht="15.75" customHeight="1">
      <c r="C88" s="87"/>
      <c r="F88" s="73"/>
      <c r="G88" s="259"/>
      <c r="H88" s="259"/>
      <c r="I88" s="139"/>
      <c r="J88" s="260"/>
      <c r="K88" s="260"/>
      <c r="L88" s="260"/>
      <c r="M88" s="260"/>
    </row>
    <row r="89" spans="2:13" ht="18.75" customHeight="1">
      <c r="B89" s="261" t="s">
        <v>57</v>
      </c>
      <c r="C89" s="262"/>
      <c r="D89" s="148">
        <v>9087.9705</v>
      </c>
      <c r="E89" s="74"/>
      <c r="F89" s="140" t="s">
        <v>137</v>
      </c>
      <c r="G89" s="257"/>
      <c r="H89" s="257"/>
      <c r="I89" s="141"/>
      <c r="J89" s="260"/>
      <c r="K89" s="260"/>
      <c r="L89" s="260"/>
      <c r="M89" s="260"/>
    </row>
    <row r="90" spans="6:12" ht="9.75" customHeight="1">
      <c r="F90" s="73"/>
      <c r="G90" s="257"/>
      <c r="H90" s="257"/>
      <c r="I90" s="73"/>
      <c r="J90" s="74"/>
      <c r="K90" s="74"/>
      <c r="L90" s="74"/>
    </row>
    <row r="91" spans="2:12" ht="22.5" customHeight="1" hidden="1">
      <c r="B91" s="255" t="s">
        <v>60</v>
      </c>
      <c r="C91" s="256"/>
      <c r="D91" s="86">
        <v>0</v>
      </c>
      <c r="E91" s="56" t="s">
        <v>24</v>
      </c>
      <c r="F91" s="73"/>
      <c r="G91" s="257"/>
      <c r="H91" s="257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7"/>
      <c r="O92" s="257"/>
    </row>
    <row r="93" spans="4:15" ht="15">
      <c r="D93" s="83"/>
      <c r="I93" s="31"/>
      <c r="N93" s="258"/>
      <c r="O93" s="258"/>
    </row>
    <row r="94" spans="14:15" ht="15">
      <c r="N94" s="257"/>
      <c r="O94" s="257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147</v>
      </c>
      <c r="N3" s="288" t="s">
        <v>143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146</v>
      </c>
      <c r="F4" s="293" t="s">
        <v>34</v>
      </c>
      <c r="G4" s="265" t="s">
        <v>141</v>
      </c>
      <c r="H4" s="273" t="s">
        <v>142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144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63"/>
      <c r="O84" s="263"/>
    </row>
    <row r="85" spans="3:15" ht="15">
      <c r="C85" s="87">
        <v>42459</v>
      </c>
      <c r="D85" s="31">
        <v>7576.3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42458</v>
      </c>
      <c r="D86" s="31">
        <v>9190.1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f>4343.7</f>
        <v>4343.7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128</v>
      </c>
      <c r="N3" s="288" t="s">
        <v>119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127</v>
      </c>
      <c r="F4" s="293" t="s">
        <v>34</v>
      </c>
      <c r="G4" s="265" t="s">
        <v>116</v>
      </c>
      <c r="H4" s="273" t="s">
        <v>117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140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118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63"/>
      <c r="O84" s="263"/>
    </row>
    <row r="85" spans="3:15" ht="15">
      <c r="C85" s="87">
        <v>42426</v>
      </c>
      <c r="D85" s="31">
        <v>6256.2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42425</v>
      </c>
      <c r="D86" s="31">
        <v>3536.9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505.3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135</v>
      </c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132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129</v>
      </c>
      <c r="F4" s="293" t="s">
        <v>34</v>
      </c>
      <c r="G4" s="265" t="s">
        <v>130</v>
      </c>
      <c r="H4" s="273" t="s">
        <v>131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97" t="s">
        <v>133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134</v>
      </c>
      <c r="L5" s="269"/>
      <c r="M5" s="274"/>
      <c r="N5" s="298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63"/>
      <c r="O84" s="263"/>
    </row>
    <row r="85" spans="3:15" ht="15">
      <c r="C85" s="87">
        <v>42397</v>
      </c>
      <c r="D85" s="31">
        <v>8685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42396</v>
      </c>
      <c r="D86" s="31">
        <v>4820.3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300.92</v>
      </c>
      <c r="E88" s="74"/>
      <c r="F88" s="140"/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136</v>
      </c>
      <c r="C3" s="282" t="s">
        <v>0</v>
      </c>
      <c r="D3" s="283" t="s">
        <v>115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107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104</v>
      </c>
      <c r="F4" s="299" t="s">
        <v>34</v>
      </c>
      <c r="G4" s="265" t="s">
        <v>109</v>
      </c>
      <c r="H4" s="273" t="s">
        <v>110</v>
      </c>
      <c r="I4" s="265" t="s">
        <v>105</v>
      </c>
      <c r="J4" s="273" t="s">
        <v>106</v>
      </c>
      <c r="K4" s="91" t="s">
        <v>65</v>
      </c>
      <c r="L4" s="96" t="s">
        <v>64</v>
      </c>
      <c r="M4" s="273"/>
      <c r="N4" s="297" t="s">
        <v>103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6.5" customHeight="1">
      <c r="A5" s="280"/>
      <c r="B5" s="281"/>
      <c r="C5" s="282"/>
      <c r="D5" s="283"/>
      <c r="E5" s="290"/>
      <c r="F5" s="300"/>
      <c r="G5" s="266"/>
      <c r="H5" s="274"/>
      <c r="I5" s="266"/>
      <c r="J5" s="274"/>
      <c r="K5" s="268" t="s">
        <v>108</v>
      </c>
      <c r="L5" s="269"/>
      <c r="M5" s="274"/>
      <c r="N5" s="298"/>
      <c r="O5" s="266"/>
      <c r="P5" s="267"/>
      <c r="Q5" s="268" t="s">
        <v>126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0"/>
      <c r="H82" s="270"/>
      <c r="I82" s="270"/>
      <c r="J82" s="27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63"/>
      <c r="O83" s="263"/>
    </row>
    <row r="84" spans="3:15" ht="15">
      <c r="C84" s="87">
        <v>42397</v>
      </c>
      <c r="D84" s="31">
        <v>8685</v>
      </c>
      <c r="F84" s="166" t="s">
        <v>59</v>
      </c>
      <c r="G84" s="257"/>
      <c r="H84" s="257"/>
      <c r="I84" s="131"/>
      <c r="J84" s="260"/>
      <c r="K84" s="260"/>
      <c r="L84" s="260"/>
      <c r="M84" s="260"/>
      <c r="N84" s="263"/>
      <c r="O84" s="263"/>
    </row>
    <row r="85" spans="3:15" ht="15.75" customHeight="1">
      <c r="C85" s="87">
        <v>42396</v>
      </c>
      <c r="D85" s="31">
        <v>4820.3</v>
      </c>
      <c r="F85" s="167"/>
      <c r="G85" s="257"/>
      <c r="H85" s="257"/>
      <c r="I85" s="131"/>
      <c r="J85" s="264"/>
      <c r="K85" s="264"/>
      <c r="L85" s="264"/>
      <c r="M85" s="264"/>
      <c r="N85" s="263"/>
      <c r="O85" s="263"/>
    </row>
    <row r="86" spans="3:13" ht="15.75" customHeight="1">
      <c r="C86" s="87"/>
      <c r="F86" s="167"/>
      <c r="G86" s="259"/>
      <c r="H86" s="259"/>
      <c r="I86" s="139"/>
      <c r="J86" s="260"/>
      <c r="K86" s="260"/>
      <c r="L86" s="260"/>
      <c r="M86" s="260"/>
    </row>
    <row r="87" spans="2:13" ht="18.75" customHeight="1">
      <c r="B87" s="261" t="s">
        <v>57</v>
      </c>
      <c r="C87" s="262"/>
      <c r="D87" s="148">
        <v>300.92</v>
      </c>
      <c r="E87" s="74"/>
      <c r="F87" s="168"/>
      <c r="G87" s="257"/>
      <c r="H87" s="257"/>
      <c r="I87" s="141"/>
      <c r="J87" s="260"/>
      <c r="K87" s="260"/>
      <c r="L87" s="260"/>
      <c r="M87" s="260"/>
    </row>
    <row r="88" spans="6:12" ht="9.75" customHeight="1">
      <c r="F88" s="167"/>
      <c r="G88" s="257"/>
      <c r="H88" s="257"/>
      <c r="I88" s="73"/>
      <c r="J88" s="74"/>
      <c r="K88" s="74"/>
      <c r="L88" s="74"/>
    </row>
    <row r="89" spans="2:12" ht="22.5" customHeight="1" hidden="1">
      <c r="B89" s="255" t="s">
        <v>60</v>
      </c>
      <c r="C89" s="256"/>
      <c r="D89" s="86">
        <v>0</v>
      </c>
      <c r="E89" s="56" t="s">
        <v>24</v>
      </c>
      <c r="F89" s="167"/>
      <c r="G89" s="257"/>
      <c r="H89" s="25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7"/>
      <c r="O90" s="257"/>
    </row>
    <row r="91" spans="4:15" ht="15">
      <c r="D91" s="83"/>
      <c r="I91" s="31"/>
      <c r="N91" s="258"/>
      <c r="O91" s="258"/>
    </row>
    <row r="92" spans="14:15" ht="15">
      <c r="N92" s="257"/>
      <c r="O92" s="257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2016-07-14T08:16:11Z</cp:lastPrinted>
  <dcterms:created xsi:type="dcterms:W3CDTF">2003-07-28T11:27:56Z</dcterms:created>
  <dcterms:modified xsi:type="dcterms:W3CDTF">2016-07-14T08:44:04Z</dcterms:modified>
  <cp:category/>
  <cp:version/>
  <cp:contentType/>
  <cp:contentStatus/>
</cp:coreProperties>
</file>